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75" windowWidth="16365" windowHeight="9945" activeTab="0"/>
  </bookViews>
  <sheets>
    <sheet name="KW-Loop" sheetId="1" r:id="rId1"/>
    <sheet name="MW-Rahmen" sheetId="2" r:id="rId2"/>
    <sheet name="Schwinkreis &amp; Eigenkapazität " sheetId="3" state="hidden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<sst xmlns="http://schemas.openxmlformats.org/spreadsheetml/2006/main" count="97" uniqueCount="48">
  <si>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U</t>
  </si>
  <si>
    <t>D</t>
  </si>
  <si>
    <t>Ø Schleife (cm)</t>
  </si>
  <si>
    <t>d</t>
  </si>
  <si>
    <t>Ø Material (cm)</t>
  </si>
  <si>
    <t>L</t>
  </si>
  <si>
    <t>Induktivität (µH)</t>
  </si>
  <si>
    <t>C</t>
  </si>
  <si>
    <t>F</t>
  </si>
  <si>
    <t>Frequenz (MHz)</t>
  </si>
  <si>
    <t>Ergebnis</t>
  </si>
  <si>
    <t>Quadratischer Rahmen</t>
  </si>
  <si>
    <t>Runder Rahmen</t>
  </si>
  <si>
    <t>S</t>
  </si>
  <si>
    <t>Windungsumfang (cm)</t>
  </si>
  <si>
    <t>A</t>
  </si>
  <si>
    <t>Rahmenfläche (cm²)</t>
  </si>
  <si>
    <t>Ø Draht (mm)</t>
  </si>
  <si>
    <t>n</t>
  </si>
  <si>
    <t>Windungszahl</t>
  </si>
  <si>
    <t>g</t>
  </si>
  <si>
    <t>Windungsabstand (mm)</t>
  </si>
  <si>
    <t>Eingabe</t>
  </si>
  <si>
    <t>Frequenz (kHz)</t>
  </si>
  <si>
    <t>Drahtlänge gesamt (m)</t>
  </si>
  <si>
    <t>g / d</t>
  </si>
  <si>
    <t>V</t>
  </si>
  <si>
    <r>
      <t>L</t>
    </r>
    <r>
      <rPr>
        <sz val="10"/>
        <rFont val="Arial"/>
        <family val="0"/>
      </rPr>
      <t xml:space="preserve"> (µH)</t>
    </r>
  </si>
  <si>
    <r>
      <t>C</t>
    </r>
    <r>
      <rPr>
        <sz val="10"/>
        <rFont val="Arial"/>
        <family val="0"/>
      </rPr>
      <t xml:space="preserve"> (pF)</t>
    </r>
  </si>
  <si>
    <r>
      <t>F</t>
    </r>
    <r>
      <rPr>
        <sz val="10"/>
        <rFont val="Arial"/>
        <family val="0"/>
      </rPr>
      <t xml:space="preserve"> (kHz)</t>
    </r>
  </si>
  <si>
    <t>Ø Spule (cm)</t>
  </si>
  <si>
    <t>Faktor</t>
  </si>
  <si>
    <t>Spulenkapazität (pF)</t>
  </si>
  <si>
    <r>
      <t>L</t>
    </r>
    <r>
      <rPr>
        <sz val="10"/>
        <rFont val="Arial"/>
        <family val="0"/>
      </rPr>
      <t xml:space="preserve"> (µH) oder</t>
    </r>
    <r>
      <rPr>
        <b/>
        <sz val="10"/>
        <rFont val="Arial"/>
        <family val="2"/>
      </rPr>
      <t xml:space="preserve"> C</t>
    </r>
    <r>
      <rPr>
        <sz val="10"/>
        <rFont val="Arial"/>
        <family val="0"/>
      </rPr>
      <t xml:space="preserve"> (pF)</t>
    </r>
  </si>
  <si>
    <r>
      <t>C</t>
    </r>
    <r>
      <rPr>
        <sz val="10"/>
        <rFont val="Arial"/>
        <family val="0"/>
      </rPr>
      <t xml:space="preserve"> (pF) oder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 xml:space="preserve"> (µH)</t>
    </r>
  </si>
  <si>
    <r>
      <t>C</t>
    </r>
    <r>
      <rPr>
        <vertAlign val="subscript"/>
        <sz val="10"/>
        <rFont val="Arial"/>
        <family val="2"/>
      </rPr>
      <t>L</t>
    </r>
  </si>
  <si>
    <t>Seitenlänge Rahmen (cm)</t>
  </si>
  <si>
    <t>Ø Rahmen (cm)</t>
  </si>
  <si>
    <t>g/d</t>
  </si>
  <si>
    <r>
      <t>C</t>
    </r>
    <r>
      <rPr>
        <b/>
        <vertAlign val="subscript"/>
        <sz val="10"/>
        <rFont val="Arial"/>
        <family val="2"/>
      </rPr>
      <t>g</t>
    </r>
  </si>
  <si>
    <t>Gesamtkapazität (pF)</t>
  </si>
  <si>
    <t>D/l</t>
  </si>
  <si>
    <t>Wicklungslänge (cm)</t>
  </si>
  <si>
    <t>Drehkokapazität (pF)</t>
  </si>
  <si>
    <r>
      <t>C</t>
    </r>
    <r>
      <rPr>
        <b/>
        <vertAlign val="subscript"/>
        <sz val="10"/>
        <rFont val="Arial"/>
        <family val="2"/>
      </rPr>
      <t>D</t>
    </r>
  </si>
  <si>
    <r>
      <t>C</t>
    </r>
    <r>
      <rPr>
        <b/>
        <vertAlign val="subscript"/>
        <sz val="10"/>
        <rFont val="Arial"/>
        <family val="2"/>
      </rPr>
      <t>L</t>
    </r>
  </si>
  <si>
    <t>Wicklungskapazität (pF)</t>
  </si>
  <si>
    <t>Außenumfang (cm)</t>
  </si>
</sst>
</file>

<file path=xl/styles.xml><?xml version="1.0" encoding="utf-8"?>
<styleSheet xmlns="http://schemas.openxmlformats.org/spreadsheetml/2006/main">
  <numFmts count="7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0\ &quot;DM&quot;"/>
    <numFmt numFmtId="175" formatCode="0.00000"/>
    <numFmt numFmtId="176" formatCode="#,##0.0"/>
    <numFmt numFmtId="177" formatCode="0.0000"/>
    <numFmt numFmtId="178" formatCode="00000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* #,##0_-;\-* #,##0_-;_-* &quot;-&quot;_-;_-@_-"/>
    <numFmt numFmtId="185" formatCode="_-&quot;öS&quot;\ * #,##0.00_-;\-&quot;öS&quot;\ * #,##0.00_-;_-&quot;öS&quot;\ * &quot;-&quot;??_-;_-@_-"/>
    <numFmt numFmtId="186" formatCode="_-* #,##0.00_-;\-* #,##0.00_-;_-* &quot;-&quot;??_-;_-@_-"/>
    <numFmt numFmtId="187" formatCode="0.000000"/>
    <numFmt numFmtId="188" formatCode="0.0000000"/>
    <numFmt numFmtId="189" formatCode="0.00000000"/>
    <numFmt numFmtId="190" formatCode="#,##0.000"/>
    <numFmt numFmtId="191" formatCode="_-* #,##0.000_-;\-* #,##0.000_-;_-* &quot;-&quot;??_-;_-@_-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  <numFmt numFmtId="207" formatCode="#,##0.0000000000000000000"/>
    <numFmt numFmtId="208" formatCode="#,##0.00000000000000000000"/>
    <numFmt numFmtId="209" formatCode="#,##0.000000000000000000000"/>
    <numFmt numFmtId="210" formatCode="#,##0.0000000000000000000000"/>
    <numFmt numFmtId="211" formatCode="#,##0.00000000000000000000000"/>
    <numFmt numFmtId="212" formatCode="#,##0.000000000000000000000000"/>
    <numFmt numFmtId="213" formatCode="0.000E+00"/>
    <numFmt numFmtId="214" formatCode="#,##0.000000000000000000000000000000"/>
    <numFmt numFmtId="215" formatCode="#,##0.00000000000000000000000000000"/>
    <numFmt numFmtId="216" formatCode="#,##0.0000000000000000000000000000"/>
    <numFmt numFmtId="217" formatCode="#,##0.000000000000000000000000000"/>
    <numFmt numFmtId="218" formatCode="#,##0.00000000000000000000000000"/>
    <numFmt numFmtId="219" formatCode="#,##0.0000000000000000000000000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_-* #,##0.000000000_-;\-* #,##0.000000000_-;_-* &quot;-&quot;??_-;_-@_-"/>
    <numFmt numFmtId="226" formatCode="_-* #,##0.0000000000_-;\-* #,##0.0000000000_-;_-* &quot;-&quot;??_-;_-@_-"/>
    <numFmt numFmtId="227" formatCode="_-* #,##0.00000000000_-;\-* #,##0.00000000000_-;_-* &quot;-&quot;??_-;_-@_-"/>
    <numFmt numFmtId="228" formatCode="_-* #,##0.000000000000_-;\-* #,##0.000000000000_-;_-* &quot;-&quot;??_-;_-@_-"/>
    <numFmt numFmtId="229" formatCode="_-* #,##0.0000000000000_-;\-* #,##0.0000000000000_-;_-* &quot;-&quot;??_-;_-@_-"/>
    <numFmt numFmtId="230" formatCode="#,##0.0\ &quot;€&quot;"/>
    <numFmt numFmtId="231" formatCode="#,##0.00\ &quot;€&quot;"/>
  </numFmts>
  <fonts count="13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73" fontId="0" fillId="3" borderId="12" xfId="0" applyNumberFormat="1" applyFill="1" applyBorder="1" applyAlignment="1" applyProtection="1">
      <alignment horizontal="center"/>
      <protection locked="0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11" xfId="32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2" fontId="5" fillId="2" borderId="0" xfId="0" applyNumberFormat="1" applyFont="1" applyFill="1" applyAlignment="1">
      <alignment shrinkToFit="1"/>
    </xf>
    <xf numFmtId="0" fontId="5" fillId="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1" fontId="0" fillId="3" borderId="12" xfId="0" applyNumberFormat="1" applyFill="1" applyBorder="1" applyAlignment="1" applyProtection="1">
      <alignment horizontal="center"/>
      <protection locked="0"/>
    </xf>
    <xf numFmtId="173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3" fontId="5" fillId="0" borderId="0" xfId="0" applyNumberFormat="1" applyFont="1" applyAlignment="1">
      <alignment horizontal="center"/>
    </xf>
    <xf numFmtId="176" fontId="0" fillId="4" borderId="12" xfId="0" applyNumberFormat="1" applyFill="1" applyBorder="1" applyAlignment="1" applyProtection="1">
      <alignment horizontal="center"/>
      <protection/>
    </xf>
    <xf numFmtId="2" fontId="7" fillId="2" borderId="0" xfId="0" applyNumberFormat="1" applyFont="1" applyFill="1" applyBorder="1" applyAlignment="1">
      <alignment/>
    </xf>
    <xf numFmtId="173" fontId="0" fillId="2" borderId="0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2" borderId="0" xfId="0" applyFont="1" applyFill="1" applyAlignment="1">
      <alignment/>
    </xf>
    <xf numFmtId="173" fontId="0" fillId="4" borderId="13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Border="1" applyAlignment="1">
      <alignment/>
    </xf>
    <xf numFmtId="173" fontId="0" fillId="4" borderId="2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176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0" fillId="3" borderId="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Alignment="1">
      <alignment/>
    </xf>
    <xf numFmtId="173" fontId="0" fillId="2" borderId="0" xfId="0" applyNumberFormat="1" applyFill="1" applyBorder="1" applyAlignment="1">
      <alignment horizontal="center"/>
    </xf>
    <xf numFmtId="173" fontId="5" fillId="2" borderId="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4" borderId="2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76" fontId="0" fillId="4" borderId="1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173" fontId="0" fillId="4" borderId="25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3" fontId="2" fillId="2" borderId="7" xfId="0" applyNumberFormat="1" applyFont="1" applyFill="1" applyBorder="1" applyAlignment="1">
      <alignment horizontal="center"/>
    </xf>
    <xf numFmtId="173" fontId="0" fillId="2" borderId="30" xfId="0" applyNumberFormat="1" applyFill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73" fontId="0" fillId="2" borderId="23" xfId="0" applyNumberFormat="1" applyFill="1" applyBorder="1" applyAlignment="1">
      <alignment horizontal="center"/>
    </xf>
    <xf numFmtId="173" fontId="0" fillId="2" borderId="21" xfId="0" applyNumberFormat="1" applyFill="1" applyBorder="1" applyAlignment="1">
      <alignment horizontal="center"/>
    </xf>
    <xf numFmtId="173" fontId="0" fillId="2" borderId="27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173" fontId="0" fillId="4" borderId="12" xfId="0" applyNumberFormat="1" applyFill="1" applyBorder="1" applyAlignment="1" applyProtection="1">
      <alignment horizontal="center"/>
      <protection/>
    </xf>
    <xf numFmtId="173" fontId="0" fillId="4" borderId="13" xfId="0" applyNumberFormat="1" applyFill="1" applyBorder="1" applyAlignment="1" applyProtection="1">
      <alignment horizontal="center"/>
      <protection/>
    </xf>
    <xf numFmtId="2" fontId="0" fillId="3" borderId="12" xfId="0" applyNumberFormat="1" applyFill="1" applyBorder="1" applyAlignment="1" applyProtection="1">
      <alignment horizontal="center"/>
      <protection locked="0"/>
    </xf>
  </cellXfs>
  <cellStyles count="35">
    <cellStyle name="Normal" xfId="0"/>
    <cellStyle name="Comma" xfId="15"/>
    <cellStyle name="Comma [0]" xfId="16"/>
    <cellStyle name="Dezimal [0]_Antennenberechnungen" xfId="17"/>
    <cellStyle name="Dezimal [0]_KW-MW-Rahmen+Koaxkabel+dB Rechner" xfId="18"/>
    <cellStyle name="Dezimal [0]_Mappe1" xfId="19"/>
    <cellStyle name="Dezimal [0]_MW-Rechner" xfId="20"/>
    <cellStyle name="Dezimal [0]_Optimale Spule" xfId="21"/>
    <cellStyle name="Dezimal [0]_WIDERSTA" xfId="22"/>
    <cellStyle name="Dezimal [0]_Zylinderluftspule" xfId="23"/>
    <cellStyle name="Dezimal_Antennenberechnungen" xfId="24"/>
    <cellStyle name="Dezimal_KW-MW-Rahmen+Koaxkabel+dB Rechner" xfId="25"/>
    <cellStyle name="Dezimal_Mappe1" xfId="26"/>
    <cellStyle name="Dezimal_MW-Rechner" xfId="27"/>
    <cellStyle name="Dezimal_Optimale Spule" xfId="28"/>
    <cellStyle name="Dezimal_WIDERSTA" xfId="29"/>
    <cellStyle name="Dezimal_Zylinderluftspule" xfId="30"/>
    <cellStyle name="Percent" xfId="31"/>
    <cellStyle name="Standard_Drahtspule_01" xfId="32"/>
    <cellStyle name="Currency" xfId="33"/>
    <cellStyle name="Currency [0]" xfId="34"/>
    <cellStyle name="Währung [0]_Antennenberechnungen" xfId="35"/>
    <cellStyle name="Währung [0]_KW-MW-Rahmen+Koaxkabel+dB Rechner" xfId="36"/>
    <cellStyle name="Währung [0]_Mappe1" xfId="37"/>
    <cellStyle name="Währung [0]_MW-Rechner" xfId="38"/>
    <cellStyle name="Währung [0]_Optimale Spule" xfId="39"/>
    <cellStyle name="Währung [0]_WIDERSTA" xfId="40"/>
    <cellStyle name="Währung [0]_Zylinderluftspule" xfId="41"/>
    <cellStyle name="Währung_Antennenberechnungen" xfId="42"/>
    <cellStyle name="Währung_KW-MW-Rahmen+Koaxkabel+dB Rechner" xfId="43"/>
    <cellStyle name="Währung_Mappe1" xfId="44"/>
    <cellStyle name="Währung_MW-Rechner" xfId="45"/>
    <cellStyle name="Währung_Optimale Spule" xfId="46"/>
    <cellStyle name="Währung_WIDERSTA" xfId="47"/>
    <cellStyle name="Währung_Zylinderluftspul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209550</xdr:colOff>
      <xdr:row>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1950" y="161925"/>
          <a:ext cx="3114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Magnetantenne - 1 Wdg.</a:t>
          </a:r>
        </a:p>
      </xdr:txBody>
    </xdr:sp>
    <xdr:clientData/>
  </xdr:twoCellAnchor>
  <xdr:twoCellAnchor>
    <xdr:from>
      <xdr:col>0</xdr:col>
      <xdr:colOff>342900</xdr:colOff>
      <xdr:row>17</xdr:row>
      <xdr:rowOff>19050</xdr:rowOff>
    </xdr:from>
    <xdr:to>
      <xdr:col>10</xdr:col>
      <xdr:colOff>171450</xdr:colOff>
      <xdr:row>21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42900" y="2800350"/>
          <a:ext cx="61722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Bei von rundem Material abweichendem Querschnitt, nehme man den Umfang und rechne auf den Durchmesser um.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</xdr:row>
      <xdr:rowOff>28575</xdr:rowOff>
    </xdr:from>
    <xdr:ext cx="3876675" cy="333375"/>
    <xdr:sp>
      <xdr:nvSpPr>
        <xdr:cNvPr id="1" name="TextBox 1"/>
        <xdr:cNvSpPr txBox="1">
          <a:spLocks noChangeArrowheads="1"/>
        </xdr:cNvSpPr>
      </xdr:nvSpPr>
      <xdr:spPr>
        <a:xfrm>
          <a:off x="1133475" y="200025"/>
          <a:ext cx="387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Einlagige Rahmenluftspule D/l &gt; 5</a:t>
          </a:r>
        </a:p>
      </xdr:txBody>
    </xdr:sp>
    <xdr:clientData/>
  </xdr:oneCellAnchor>
  <xdr:twoCellAnchor>
    <xdr:from>
      <xdr:col>3</xdr:col>
      <xdr:colOff>581025</xdr:colOff>
      <xdr:row>34</xdr:row>
      <xdr:rowOff>47625</xdr:rowOff>
    </xdr:from>
    <xdr:to>
      <xdr:col>7</xdr:col>
      <xdr:colOff>400050</xdr:colOff>
      <xdr:row>35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90750" y="570547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Gewinndifferenz (dB)</a:t>
          </a:r>
        </a:p>
      </xdr:txBody>
    </xdr:sp>
    <xdr:clientData/>
  </xdr:twoCellAnchor>
  <xdr:twoCellAnchor>
    <xdr:from>
      <xdr:col>2</xdr:col>
      <xdr:colOff>428625</xdr:colOff>
      <xdr:row>34</xdr:row>
      <xdr:rowOff>133350</xdr:rowOff>
    </xdr:from>
    <xdr:to>
      <xdr:col>3</xdr:col>
      <xdr:colOff>504825</xdr:colOff>
      <xdr:row>34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276350" y="5791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32</xdr:row>
      <xdr:rowOff>123825</xdr:rowOff>
    </xdr:from>
    <xdr:to>
      <xdr:col>2</xdr:col>
      <xdr:colOff>428625</xdr:colOff>
      <xdr:row>34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276350" y="5448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34</xdr:row>
      <xdr:rowOff>142875</xdr:rowOff>
    </xdr:from>
    <xdr:to>
      <xdr:col>8</xdr:col>
      <xdr:colOff>504825</xdr:colOff>
      <xdr:row>34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4010025" y="5800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32</xdr:row>
      <xdr:rowOff>114300</xdr:rowOff>
    </xdr:from>
    <xdr:to>
      <xdr:col>8</xdr:col>
      <xdr:colOff>504825</xdr:colOff>
      <xdr:row>34</xdr:row>
      <xdr:rowOff>133350</xdr:rowOff>
    </xdr:to>
    <xdr:sp>
      <xdr:nvSpPr>
        <xdr:cNvPr id="6" name="Line 7"/>
        <xdr:cNvSpPr>
          <a:spLocks/>
        </xdr:cNvSpPr>
      </xdr:nvSpPr>
      <xdr:spPr>
        <a:xfrm flipV="1">
          <a:off x="4752975" y="5438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76200</xdr:rowOff>
    </xdr:from>
    <xdr:to>
      <xdr:col>11</xdr:col>
      <xdr:colOff>342900</xdr:colOff>
      <xdr:row>21</xdr:row>
      <xdr:rowOff>76200</xdr:rowOff>
    </xdr:to>
    <xdr:sp>
      <xdr:nvSpPr>
        <xdr:cNvPr id="7" name="Line 10"/>
        <xdr:cNvSpPr>
          <a:spLocks/>
        </xdr:cNvSpPr>
      </xdr:nvSpPr>
      <xdr:spPr>
        <a:xfrm>
          <a:off x="5638800" y="3552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23</xdr:row>
      <xdr:rowOff>76200</xdr:rowOff>
    </xdr:from>
    <xdr:to>
      <xdr:col>11</xdr:col>
      <xdr:colOff>295275</xdr:colOff>
      <xdr:row>23</xdr:row>
      <xdr:rowOff>76200</xdr:rowOff>
    </xdr:to>
    <xdr:sp>
      <xdr:nvSpPr>
        <xdr:cNvPr id="8" name="Line 11"/>
        <xdr:cNvSpPr>
          <a:spLocks/>
        </xdr:cNvSpPr>
      </xdr:nvSpPr>
      <xdr:spPr>
        <a:xfrm flipH="1">
          <a:off x="5648325" y="3876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571500</xdr:colOff>
      <xdr:row>41</xdr:row>
      <xdr:rowOff>152400</xdr:rowOff>
    </xdr:from>
    <xdr:to>
      <xdr:col>23</xdr:col>
      <xdr:colOff>114300</xdr:colOff>
      <xdr:row>41</xdr:row>
      <xdr:rowOff>152400</xdr:rowOff>
    </xdr:to>
    <xdr:sp>
      <xdr:nvSpPr>
        <xdr:cNvPr id="9" name="Line 24"/>
        <xdr:cNvSpPr>
          <a:spLocks/>
        </xdr:cNvSpPr>
      </xdr:nvSpPr>
      <xdr:spPr>
        <a:xfrm flipH="1">
          <a:off x="12420600" y="6953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42</xdr:row>
      <xdr:rowOff>85725</xdr:rowOff>
    </xdr:from>
    <xdr:to>
      <xdr:col>15</xdr:col>
      <xdr:colOff>200025</xdr:colOff>
      <xdr:row>42</xdr:row>
      <xdr:rowOff>85725</xdr:rowOff>
    </xdr:to>
    <xdr:sp>
      <xdr:nvSpPr>
        <xdr:cNvPr id="10" name="Line 26"/>
        <xdr:cNvSpPr>
          <a:spLocks/>
        </xdr:cNvSpPr>
      </xdr:nvSpPr>
      <xdr:spPr>
        <a:xfrm flipH="1">
          <a:off x="7505700" y="7048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76200</xdr:rowOff>
    </xdr:from>
    <xdr:to>
      <xdr:col>5</xdr:col>
      <xdr:colOff>314325</xdr:colOff>
      <xdr:row>21</xdr:row>
      <xdr:rowOff>76200</xdr:rowOff>
    </xdr:to>
    <xdr:sp>
      <xdr:nvSpPr>
        <xdr:cNvPr id="11" name="Line 28"/>
        <xdr:cNvSpPr>
          <a:spLocks/>
        </xdr:cNvSpPr>
      </xdr:nvSpPr>
      <xdr:spPr>
        <a:xfrm>
          <a:off x="2952750" y="3552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85725</xdr:rowOff>
    </xdr:from>
    <xdr:to>
      <xdr:col>5</xdr:col>
      <xdr:colOff>304800</xdr:colOff>
      <xdr:row>23</xdr:row>
      <xdr:rowOff>85725</xdr:rowOff>
    </xdr:to>
    <xdr:sp>
      <xdr:nvSpPr>
        <xdr:cNvPr id="12" name="Line 29"/>
        <xdr:cNvSpPr>
          <a:spLocks/>
        </xdr:cNvSpPr>
      </xdr:nvSpPr>
      <xdr:spPr>
        <a:xfrm flipH="1">
          <a:off x="2952750" y="3886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76200</xdr:rowOff>
    </xdr:from>
    <xdr:to>
      <xdr:col>9</xdr:col>
      <xdr:colOff>581025</xdr:colOff>
      <xdr:row>18</xdr:row>
      <xdr:rowOff>76200</xdr:rowOff>
    </xdr:to>
    <xdr:sp>
      <xdr:nvSpPr>
        <xdr:cNvPr id="1" name="Line 1"/>
        <xdr:cNvSpPr>
          <a:spLocks/>
        </xdr:cNvSpPr>
      </xdr:nvSpPr>
      <xdr:spPr>
        <a:xfrm>
          <a:off x="4286250" y="30384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19</xdr:row>
      <xdr:rowOff>95250</xdr:rowOff>
    </xdr:from>
    <xdr:to>
      <xdr:col>9</xdr:col>
      <xdr:colOff>552450</xdr:colOff>
      <xdr:row>19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276725" y="32194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85725</xdr:rowOff>
    </xdr:from>
    <xdr:to>
      <xdr:col>2</xdr:col>
      <xdr:colOff>323850</xdr:colOff>
      <xdr:row>27</xdr:row>
      <xdr:rowOff>19050</xdr:rowOff>
    </xdr:to>
    <xdr:sp>
      <xdr:nvSpPr>
        <xdr:cNvPr id="3" name="Oval 3"/>
        <xdr:cNvSpPr>
          <a:spLocks/>
        </xdr:cNvSpPr>
      </xdr:nvSpPr>
      <xdr:spPr>
        <a:xfrm>
          <a:off x="1409700" y="4057650"/>
          <a:ext cx="4572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24</xdr:row>
      <xdr:rowOff>95250</xdr:rowOff>
    </xdr:from>
    <xdr:to>
      <xdr:col>3</xdr:col>
      <xdr:colOff>114300</xdr:colOff>
      <xdr:row>27</xdr:row>
      <xdr:rowOff>28575</xdr:rowOff>
    </xdr:to>
    <xdr:sp>
      <xdr:nvSpPr>
        <xdr:cNvPr id="4" name="Oval 4"/>
        <xdr:cNvSpPr>
          <a:spLocks/>
        </xdr:cNvSpPr>
      </xdr:nvSpPr>
      <xdr:spPr>
        <a:xfrm>
          <a:off x="2352675" y="4067175"/>
          <a:ext cx="4572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25</xdr:row>
      <xdr:rowOff>85725</xdr:rowOff>
    </xdr:from>
    <xdr:to>
      <xdr:col>1</xdr:col>
      <xdr:colOff>180975</xdr:colOff>
      <xdr:row>28</xdr:row>
      <xdr:rowOff>47625</xdr:rowOff>
    </xdr:to>
    <xdr:sp>
      <xdr:nvSpPr>
        <xdr:cNvPr id="5" name="Line 5"/>
        <xdr:cNvSpPr>
          <a:spLocks/>
        </xdr:cNvSpPr>
      </xdr:nvSpPr>
      <xdr:spPr>
        <a:xfrm>
          <a:off x="1409700" y="4219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51</xdr:row>
      <xdr:rowOff>76200</xdr:rowOff>
    </xdr:from>
    <xdr:to>
      <xdr:col>3</xdr:col>
      <xdr:colOff>228600</xdr:colOff>
      <xdr:row>55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924175" y="84391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51</xdr:row>
      <xdr:rowOff>76200</xdr:rowOff>
    </xdr:from>
    <xdr:to>
      <xdr:col>3</xdr:col>
      <xdr:colOff>228600</xdr:colOff>
      <xdr:row>55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924175" y="84391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51</xdr:row>
      <xdr:rowOff>76200</xdr:rowOff>
    </xdr:from>
    <xdr:to>
      <xdr:col>5</xdr:col>
      <xdr:colOff>152400</xdr:colOff>
      <xdr:row>55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076700" y="84391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85725</xdr:rowOff>
    </xdr:from>
    <xdr:to>
      <xdr:col>2</xdr:col>
      <xdr:colOff>323850</xdr:colOff>
      <xdr:row>28</xdr:row>
      <xdr:rowOff>47625</xdr:rowOff>
    </xdr:to>
    <xdr:sp>
      <xdr:nvSpPr>
        <xdr:cNvPr id="9" name="Line 9"/>
        <xdr:cNvSpPr>
          <a:spLocks/>
        </xdr:cNvSpPr>
      </xdr:nvSpPr>
      <xdr:spPr>
        <a:xfrm>
          <a:off x="1866900" y="4219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23</xdr:row>
      <xdr:rowOff>28575</xdr:rowOff>
    </xdr:from>
    <xdr:to>
      <xdr:col>2</xdr:col>
      <xdr:colOff>104775</xdr:colOff>
      <xdr:row>25</xdr:row>
      <xdr:rowOff>123825</xdr:rowOff>
    </xdr:to>
    <xdr:sp>
      <xdr:nvSpPr>
        <xdr:cNvPr id="10" name="Line 10"/>
        <xdr:cNvSpPr>
          <a:spLocks/>
        </xdr:cNvSpPr>
      </xdr:nvSpPr>
      <xdr:spPr>
        <a:xfrm flipV="1">
          <a:off x="1647825" y="3838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46</xdr:row>
      <xdr:rowOff>95250</xdr:rowOff>
    </xdr:from>
    <xdr:to>
      <xdr:col>6</xdr:col>
      <xdr:colOff>219075</xdr:colOff>
      <xdr:row>49</xdr:row>
      <xdr:rowOff>28575</xdr:rowOff>
    </xdr:to>
    <xdr:sp>
      <xdr:nvSpPr>
        <xdr:cNvPr id="11" name="Line 11"/>
        <xdr:cNvSpPr>
          <a:spLocks/>
        </xdr:cNvSpPr>
      </xdr:nvSpPr>
      <xdr:spPr>
        <a:xfrm flipV="1">
          <a:off x="4343400" y="7648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23</xdr:row>
      <xdr:rowOff>47625</xdr:rowOff>
    </xdr:from>
    <xdr:to>
      <xdr:col>2</xdr:col>
      <xdr:colOff>1047750</xdr:colOff>
      <xdr:row>25</xdr:row>
      <xdr:rowOff>133350</xdr:rowOff>
    </xdr:to>
    <xdr:sp>
      <xdr:nvSpPr>
        <xdr:cNvPr id="12" name="Line 12"/>
        <xdr:cNvSpPr>
          <a:spLocks/>
        </xdr:cNvSpPr>
      </xdr:nvSpPr>
      <xdr:spPr>
        <a:xfrm flipV="1">
          <a:off x="2590800" y="3857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123825</xdr:rowOff>
    </xdr:from>
    <xdr:to>
      <xdr:col>2</xdr:col>
      <xdr:colOff>323850</xdr:colOff>
      <xdr:row>27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419225" y="4581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27</xdr:row>
      <xdr:rowOff>123825</xdr:rowOff>
    </xdr:from>
    <xdr:to>
      <xdr:col>2</xdr:col>
      <xdr:colOff>314325</xdr:colOff>
      <xdr:row>27</xdr:row>
      <xdr:rowOff>123825</xdr:rowOff>
    </xdr:to>
    <xdr:sp>
      <xdr:nvSpPr>
        <xdr:cNvPr id="14" name="Line 14"/>
        <xdr:cNvSpPr>
          <a:spLocks/>
        </xdr:cNvSpPr>
      </xdr:nvSpPr>
      <xdr:spPr>
        <a:xfrm flipH="1">
          <a:off x="1400175" y="4581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23</xdr:row>
      <xdr:rowOff>95250</xdr:rowOff>
    </xdr:from>
    <xdr:to>
      <xdr:col>2</xdr:col>
      <xdr:colOff>1047750</xdr:colOff>
      <xdr:row>23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647825" y="3905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95250</xdr:rowOff>
    </xdr:from>
    <xdr:to>
      <xdr:col>2</xdr:col>
      <xdr:colOff>1038225</xdr:colOff>
      <xdr:row>23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1638300" y="3905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A1">
      <selection activeCell="M14" sqref="M14"/>
    </sheetView>
  </sheetViews>
  <sheetFormatPr defaultColWidth="11.421875" defaultRowHeight="12.75"/>
  <cols>
    <col min="1" max="1" width="5.421875" style="0" customWidth="1"/>
    <col min="2" max="2" width="3.57421875" style="0" customWidth="1"/>
    <col min="3" max="3" width="24.7109375" style="0" customWidth="1"/>
    <col min="4" max="4" width="6.7109375" style="0" customWidth="1"/>
    <col min="5" max="5" width="3.57421875" style="0" customWidth="1"/>
    <col min="6" max="6" width="5.00390625" style="0" customWidth="1"/>
    <col min="7" max="7" width="11.8515625" style="0" customWidth="1"/>
    <col min="12" max="12" width="2.7109375" style="0" customWidth="1"/>
    <col min="13" max="13" width="15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thickBot="1">
      <c r="A5" s="1"/>
      <c r="B5" s="1"/>
      <c r="C5" s="3"/>
      <c r="D5" s="3"/>
      <c r="E5" s="1"/>
      <c r="F5" s="4"/>
      <c r="G5" s="4"/>
      <c r="H5" s="4"/>
      <c r="I5" s="4"/>
      <c r="J5" s="4"/>
      <c r="K5" s="4"/>
      <c r="L5" s="4"/>
      <c r="M5" s="4"/>
      <c r="N5" s="1"/>
    </row>
    <row r="6" spans="1:14" ht="12.75">
      <c r="A6" s="1"/>
      <c r="B6" s="139" t="s">
        <v>0</v>
      </c>
      <c r="C6" s="140" t="s">
        <v>2</v>
      </c>
      <c r="D6" s="144">
        <v>58</v>
      </c>
      <c r="E6" s="1"/>
      <c r="F6" s="5"/>
      <c r="G6" s="103" t="s">
        <v>22</v>
      </c>
      <c r="H6" s="104"/>
      <c r="I6" s="1"/>
      <c r="J6" s="4"/>
      <c r="K6" s="4"/>
      <c r="L6" s="4"/>
      <c r="M6" s="4"/>
      <c r="N6" s="4"/>
    </row>
    <row r="7" spans="1:14" ht="13.5" thickBot="1">
      <c r="A7" s="1"/>
      <c r="B7" s="141"/>
      <c r="C7" s="80"/>
      <c r="D7" s="142"/>
      <c r="E7" s="1"/>
      <c r="F7" s="4"/>
      <c r="G7" s="105" t="s">
        <v>10</v>
      </c>
      <c r="H7" s="106"/>
      <c r="I7" s="4"/>
      <c r="J7" s="4"/>
      <c r="K7" s="4"/>
      <c r="L7" s="4"/>
      <c r="M7" s="4"/>
      <c r="N7" s="1"/>
    </row>
    <row r="8" spans="1:14" ht="12.75">
      <c r="A8" s="1"/>
      <c r="B8" s="6" t="s">
        <v>1</v>
      </c>
      <c r="C8" s="7" t="s">
        <v>47</v>
      </c>
      <c r="D8" s="143">
        <f>D6*3.1416</f>
        <v>182.2128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41"/>
      <c r="C9" s="80"/>
      <c r="D9" s="142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6" t="s">
        <v>3</v>
      </c>
      <c r="C10" s="7" t="s">
        <v>4</v>
      </c>
      <c r="D10" s="21">
        <v>0.6</v>
      </c>
      <c r="E10" s="1"/>
      <c r="F10" s="4"/>
      <c r="G10" s="4"/>
      <c r="H10" s="4"/>
      <c r="I10" s="4"/>
      <c r="J10" s="4"/>
      <c r="K10" s="4"/>
      <c r="L10" s="4"/>
      <c r="M10" s="4"/>
      <c r="N10" s="1"/>
    </row>
    <row r="11" spans="1:14" ht="12.75">
      <c r="A11" s="1"/>
      <c r="B11" s="141"/>
      <c r="C11" s="80"/>
      <c r="D11" s="142"/>
      <c r="E11" s="1"/>
      <c r="G11" s="4"/>
      <c r="H11" s="4"/>
      <c r="I11" s="4"/>
      <c r="J11" s="4"/>
      <c r="K11" s="4"/>
      <c r="L11" s="4"/>
      <c r="M11" s="4"/>
      <c r="N11" s="1"/>
    </row>
    <row r="12" spans="1:14" ht="12.75">
      <c r="A12" s="1"/>
      <c r="B12" s="6" t="s">
        <v>5</v>
      </c>
      <c r="C12" s="7" t="s">
        <v>6</v>
      </c>
      <c r="D12" s="29">
        <f>2*D8*(LN(D8/D10))/1000</f>
        <v>2.08305704249366</v>
      </c>
      <c r="E12" s="1"/>
      <c r="F12" s="89"/>
      <c r="G12" s="97"/>
      <c r="H12" s="1"/>
      <c r="I12" s="1"/>
      <c r="J12" s="1"/>
      <c r="K12" s="1"/>
      <c r="L12" s="1"/>
      <c r="M12" s="1"/>
      <c r="N12" s="1"/>
    </row>
    <row r="13" spans="1:14" ht="12.75">
      <c r="A13" s="1"/>
      <c r="B13" s="141"/>
      <c r="C13" s="80"/>
      <c r="D13" s="14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6" t="s">
        <v>7</v>
      </c>
      <c r="C14" s="7" t="s">
        <v>43</v>
      </c>
      <c r="D14" s="37">
        <v>690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41"/>
      <c r="C15" s="80"/>
      <c r="D15" s="142"/>
      <c r="E15" s="1"/>
      <c r="F15" s="4"/>
      <c r="G15" s="25"/>
      <c r="H15" s="1"/>
      <c r="I15" s="1"/>
      <c r="J15" s="1"/>
      <c r="K15" s="1"/>
      <c r="L15" s="1"/>
      <c r="M15" s="1"/>
      <c r="N15" s="1"/>
    </row>
    <row r="16" spans="1:14" ht="13.5" thickBot="1">
      <c r="A16" s="1"/>
      <c r="B16" s="12" t="s">
        <v>8</v>
      </c>
      <c r="C16" s="13" t="s">
        <v>9</v>
      </c>
      <c r="D16" s="107">
        <f>159.2/SQRT(D12*D14)</f>
        <v>4.1992133128182525</v>
      </c>
      <c r="E16" s="1"/>
      <c r="F16" s="4"/>
      <c r="G16" s="25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5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</row>
    <row r="20" spans="1:14" ht="12.75">
      <c r="A20" s="1"/>
      <c r="B20" s="3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4"/>
      <c r="D22" s="4"/>
      <c r="E22" s="4"/>
      <c r="F22" s="4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 sheet="1" objects="1" scenarios="1"/>
  <mergeCells count="8">
    <mergeCell ref="G6:H6"/>
    <mergeCell ref="G7:H7"/>
    <mergeCell ref="F12:G12"/>
    <mergeCell ref="B15:D15"/>
    <mergeCell ref="B7:D7"/>
    <mergeCell ref="B9:D9"/>
    <mergeCell ref="B11:D11"/>
    <mergeCell ref="B13:D1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6268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showGridLines="0" workbookViewId="0" topLeftCell="A1">
      <selection activeCell="E28" sqref="E28"/>
    </sheetView>
  </sheetViews>
  <sheetFormatPr defaultColWidth="11.421875" defaultRowHeight="12.75"/>
  <cols>
    <col min="1" max="1" width="9.00390625" style="0" customWidth="1"/>
    <col min="2" max="2" width="3.7109375" style="0" customWidth="1"/>
    <col min="5" max="5" width="7.8515625" style="0" customWidth="1"/>
    <col min="6" max="6" width="5.57421875" style="0" customWidth="1"/>
    <col min="7" max="7" width="3.28125" style="0" customWidth="1"/>
    <col min="10" max="10" width="8.421875" style="0" customWidth="1"/>
    <col min="11" max="11" width="3.28125" style="0" customWidth="1"/>
    <col min="12" max="12" width="5.7109375" style="0" customWidth="1"/>
    <col min="13" max="13" width="6.421875" style="0" customWidth="1"/>
    <col min="14" max="14" width="8.28125" style="0" customWidth="1"/>
    <col min="15" max="16" width="6.57421875" style="0" customWidth="1"/>
    <col min="17" max="17" width="4.28125" style="0" customWidth="1"/>
    <col min="18" max="18" width="7.28125" style="0" customWidth="1"/>
  </cols>
  <sheetData>
    <row r="1" spans="1:16" ht="13.5" thickBot="1">
      <c r="A1" s="1"/>
      <c r="B1" s="14"/>
      <c r="C1" s="1"/>
      <c r="D1" s="1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81"/>
      <c r="C2" s="82"/>
      <c r="D2" s="82"/>
      <c r="E2" s="82"/>
      <c r="F2" s="82"/>
      <c r="G2" s="82"/>
      <c r="H2" s="82"/>
      <c r="I2" s="82"/>
      <c r="J2" s="83"/>
      <c r="K2" s="4"/>
      <c r="L2" s="4"/>
      <c r="M2" s="91" t="s">
        <v>22</v>
      </c>
      <c r="N2" s="92"/>
      <c r="O2" s="4"/>
      <c r="P2" s="1"/>
    </row>
    <row r="3" spans="1:16" ht="13.5" thickBot="1">
      <c r="A3" s="1"/>
      <c r="B3" s="84"/>
      <c r="C3" s="85"/>
      <c r="D3" s="85"/>
      <c r="E3" s="85"/>
      <c r="F3" s="85"/>
      <c r="G3" s="85"/>
      <c r="H3" s="85"/>
      <c r="I3" s="85"/>
      <c r="J3" s="86"/>
      <c r="K3" s="4"/>
      <c r="L3" s="4"/>
      <c r="M3" s="93" t="s">
        <v>10</v>
      </c>
      <c r="N3" s="94"/>
      <c r="O3" s="4"/>
      <c r="P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  <c r="M4" s="4"/>
      <c r="N4" s="4"/>
      <c r="O4" s="4"/>
      <c r="P4" s="1"/>
    </row>
    <row r="5" spans="1:20" ht="13.5" thickBot="1">
      <c r="A5" s="1"/>
      <c r="B5" s="87" t="s">
        <v>11</v>
      </c>
      <c r="C5" s="70"/>
      <c r="D5" s="70"/>
      <c r="E5" s="71"/>
      <c r="F5" s="18"/>
      <c r="G5" s="87" t="s">
        <v>12</v>
      </c>
      <c r="H5" s="70"/>
      <c r="I5" s="70"/>
      <c r="J5" s="71"/>
      <c r="K5" s="4"/>
      <c r="L5" s="4"/>
      <c r="M5" s="60" t="s">
        <v>25</v>
      </c>
      <c r="N5" s="61" t="s">
        <v>26</v>
      </c>
      <c r="O5" s="4"/>
      <c r="P5" s="1"/>
      <c r="S5" s="114"/>
      <c r="T5" s="115"/>
    </row>
    <row r="6" spans="1:20" ht="12.75">
      <c r="A6" s="1"/>
      <c r="B6" s="19"/>
      <c r="C6" s="4"/>
      <c r="D6" s="4"/>
      <c r="E6" s="20"/>
      <c r="F6" s="18"/>
      <c r="G6" s="19"/>
      <c r="H6" s="4"/>
      <c r="I6" s="4"/>
      <c r="J6" s="20"/>
      <c r="K6" s="4"/>
      <c r="L6" s="4"/>
      <c r="M6" s="64">
        <v>1.05</v>
      </c>
      <c r="N6" s="53">
        <v>0.32</v>
      </c>
      <c r="S6" s="25"/>
      <c r="T6" s="116"/>
    </row>
    <row r="7" spans="1:20" ht="12.75">
      <c r="A7" s="1"/>
      <c r="B7" s="6" t="s">
        <v>13</v>
      </c>
      <c r="C7" s="138" t="s">
        <v>36</v>
      </c>
      <c r="D7" s="138"/>
      <c r="E7" s="21">
        <v>50</v>
      </c>
      <c r="F7" s="22">
        <f>1.1284*E7*10</f>
        <v>564.2</v>
      </c>
      <c r="G7" s="6" t="s">
        <v>1</v>
      </c>
      <c r="H7" s="138" t="s">
        <v>37</v>
      </c>
      <c r="I7" s="138"/>
      <c r="J7" s="21">
        <v>50</v>
      </c>
      <c r="K7" s="23">
        <f>J7*10</f>
        <v>500</v>
      </c>
      <c r="L7" s="4"/>
      <c r="M7" s="54">
        <v>1.1</v>
      </c>
      <c r="N7" s="55">
        <v>0.44</v>
      </c>
      <c r="O7" s="25"/>
      <c r="Q7" s="32"/>
      <c r="S7" s="25"/>
      <c r="T7" s="116"/>
    </row>
    <row r="8" spans="1:20" ht="12.75">
      <c r="A8" s="1"/>
      <c r="B8" s="24"/>
      <c r="C8" s="89"/>
      <c r="D8" s="89"/>
      <c r="E8" s="26">
        <f>IF(F19&lt;5,"D/l &lt;5 !","")</f>
      </c>
      <c r="F8" s="27"/>
      <c r="G8" s="19"/>
      <c r="H8" s="25"/>
      <c r="I8" s="25"/>
      <c r="J8" s="26">
        <f>IF(K19&lt;5,"D/l &lt;5 !","")</f>
      </c>
      <c r="K8" s="23"/>
      <c r="L8" s="45"/>
      <c r="M8" s="54">
        <v>1.2</v>
      </c>
      <c r="N8" s="55">
        <v>0.62</v>
      </c>
      <c r="O8" s="76"/>
      <c r="Q8" s="32"/>
      <c r="S8" s="25"/>
      <c r="T8" s="116"/>
    </row>
    <row r="9" spans="1:20" ht="12.75">
      <c r="A9" s="1"/>
      <c r="B9" s="78"/>
      <c r="C9" s="89"/>
      <c r="D9" s="89"/>
      <c r="E9" s="79"/>
      <c r="F9" s="23"/>
      <c r="G9" s="19"/>
      <c r="H9" s="25"/>
      <c r="I9" s="25"/>
      <c r="J9" s="20"/>
      <c r="K9" s="23"/>
      <c r="L9" s="45"/>
      <c r="M9" s="54">
        <v>1.3</v>
      </c>
      <c r="N9" s="55">
        <v>0.76</v>
      </c>
      <c r="O9" s="25"/>
      <c r="Q9" s="32"/>
      <c r="S9" s="25"/>
      <c r="T9" s="116"/>
    </row>
    <row r="10" spans="1:20" ht="12.75">
      <c r="A10" s="1"/>
      <c r="B10" s="28" t="s">
        <v>0</v>
      </c>
      <c r="C10" s="80" t="s">
        <v>14</v>
      </c>
      <c r="D10" s="80"/>
      <c r="E10" s="29">
        <f>E7*4</f>
        <v>200</v>
      </c>
      <c r="F10" s="23"/>
      <c r="G10" s="28" t="s">
        <v>0</v>
      </c>
      <c r="H10" s="80" t="s">
        <v>14</v>
      </c>
      <c r="I10" s="80"/>
      <c r="J10" s="29">
        <f>J7*PI()</f>
        <v>157.07963267948966</v>
      </c>
      <c r="K10" s="23"/>
      <c r="L10" s="45"/>
      <c r="M10" s="54">
        <v>1.4</v>
      </c>
      <c r="N10" s="55">
        <v>0.87</v>
      </c>
      <c r="O10" s="76"/>
      <c r="Q10" s="77"/>
      <c r="S10" s="25"/>
      <c r="T10" s="116"/>
    </row>
    <row r="11" spans="1:20" ht="12.75">
      <c r="A11" s="1"/>
      <c r="B11" s="78"/>
      <c r="C11" s="89"/>
      <c r="D11" s="89"/>
      <c r="E11" s="79"/>
      <c r="F11" s="23"/>
      <c r="G11" s="78"/>
      <c r="H11" s="89"/>
      <c r="I11" s="89"/>
      <c r="J11" s="79"/>
      <c r="K11" s="23"/>
      <c r="L11" s="45"/>
      <c r="M11" s="54">
        <v>1.5</v>
      </c>
      <c r="N11" s="55">
        <v>0.96</v>
      </c>
      <c r="O11" s="25"/>
      <c r="Q11" s="32"/>
      <c r="S11" s="25"/>
      <c r="T11" s="116"/>
    </row>
    <row r="12" spans="1:20" ht="12.75">
      <c r="A12" s="1"/>
      <c r="B12" s="28" t="s">
        <v>15</v>
      </c>
      <c r="C12" s="80" t="s">
        <v>16</v>
      </c>
      <c r="D12" s="80"/>
      <c r="E12" s="30">
        <f>E7^2</f>
        <v>2500</v>
      </c>
      <c r="F12" s="31">
        <f>(E12/10000)^0.75</f>
        <v>0.3535533905932738</v>
      </c>
      <c r="G12" s="28" t="s">
        <v>15</v>
      </c>
      <c r="H12" s="80" t="s">
        <v>16</v>
      </c>
      <c r="I12" s="80"/>
      <c r="J12" s="30">
        <f>PI()/4*J7^2</f>
        <v>1963.4954084936207</v>
      </c>
      <c r="K12" s="31">
        <f>(J12/10000)^0.75</f>
        <v>0.29496631155183706</v>
      </c>
      <c r="L12" s="45"/>
      <c r="M12" s="54">
        <v>1.8</v>
      </c>
      <c r="N12" s="55">
        <v>1.2</v>
      </c>
      <c r="O12" s="76"/>
      <c r="Q12" s="77"/>
      <c r="S12" s="25"/>
      <c r="T12" s="116"/>
    </row>
    <row r="13" spans="1:20" ht="12.75">
      <c r="A13" s="1"/>
      <c r="B13" s="78"/>
      <c r="C13" s="89"/>
      <c r="D13" s="89"/>
      <c r="E13" s="79"/>
      <c r="F13" s="23"/>
      <c r="G13" s="78"/>
      <c r="H13" s="89"/>
      <c r="I13" s="89"/>
      <c r="J13" s="79"/>
      <c r="K13" s="23"/>
      <c r="L13" s="45"/>
      <c r="M13" s="54">
        <v>2</v>
      </c>
      <c r="N13" s="55">
        <v>1.31</v>
      </c>
      <c r="O13" s="45"/>
      <c r="P13" s="1"/>
      <c r="S13" s="25"/>
      <c r="T13" s="116"/>
    </row>
    <row r="14" spans="1:20" ht="12.75">
      <c r="A14" s="1"/>
      <c r="B14" s="28" t="s">
        <v>3</v>
      </c>
      <c r="C14" s="80" t="s">
        <v>17</v>
      </c>
      <c r="D14" s="80"/>
      <c r="E14" s="21">
        <v>0.8</v>
      </c>
      <c r="F14" s="32"/>
      <c r="G14" s="28" t="s">
        <v>3</v>
      </c>
      <c r="H14" s="80" t="s">
        <v>17</v>
      </c>
      <c r="I14" s="80"/>
      <c r="J14" s="21">
        <v>0.8</v>
      </c>
      <c r="K14" s="32"/>
      <c r="L14" s="45"/>
      <c r="M14" s="54">
        <v>2.3</v>
      </c>
      <c r="N14" s="55">
        <v>1.48</v>
      </c>
      <c r="O14" s="45"/>
      <c r="P14" s="1"/>
      <c r="S14" s="25"/>
      <c r="T14" s="116"/>
    </row>
    <row r="15" spans="1:20" ht="12.75">
      <c r="A15" s="1"/>
      <c r="B15" s="78"/>
      <c r="C15" s="89"/>
      <c r="D15" s="89"/>
      <c r="E15" s="79"/>
      <c r="F15" s="23"/>
      <c r="G15" s="33"/>
      <c r="H15" s="34"/>
      <c r="I15" s="34"/>
      <c r="J15" s="35"/>
      <c r="K15" s="36"/>
      <c r="L15" s="45"/>
      <c r="M15" s="54">
        <v>2.7</v>
      </c>
      <c r="N15" s="55">
        <v>1.65</v>
      </c>
      <c r="O15" s="45"/>
      <c r="P15" s="1"/>
      <c r="S15" s="25"/>
      <c r="T15" s="116"/>
    </row>
    <row r="16" spans="1:20" ht="12.75">
      <c r="A16" s="1"/>
      <c r="B16" s="28" t="s">
        <v>18</v>
      </c>
      <c r="C16" s="80" t="s">
        <v>19</v>
      </c>
      <c r="D16" s="80"/>
      <c r="E16" s="37">
        <v>12</v>
      </c>
      <c r="F16" s="38">
        <f>E16-1</f>
        <v>11</v>
      </c>
      <c r="G16" s="28" t="s">
        <v>18</v>
      </c>
      <c r="H16" s="80" t="s">
        <v>19</v>
      </c>
      <c r="I16" s="80"/>
      <c r="J16" s="37">
        <v>14</v>
      </c>
      <c r="K16" s="38">
        <f>J16-1</f>
        <v>13</v>
      </c>
      <c r="L16" s="45"/>
      <c r="M16" s="54">
        <v>3</v>
      </c>
      <c r="N16" s="55">
        <v>1.76</v>
      </c>
      <c r="O16" s="45"/>
      <c r="P16" s="1"/>
      <c r="S16" s="25"/>
      <c r="T16" s="116"/>
    </row>
    <row r="17" spans="1:20" ht="12.75">
      <c r="A17" s="1"/>
      <c r="B17" s="78"/>
      <c r="C17" s="89"/>
      <c r="D17" s="89"/>
      <c r="E17" s="79"/>
      <c r="F17" s="23">
        <f>((F16*E18)+E14)/10</f>
        <v>3.9299999999999997</v>
      </c>
      <c r="G17" s="78"/>
      <c r="H17" s="89"/>
      <c r="I17" s="89"/>
      <c r="J17" s="79"/>
      <c r="K17" s="23">
        <f>((K16*J18)+J14)/10</f>
        <v>4.63</v>
      </c>
      <c r="L17" s="45"/>
      <c r="M17" s="54">
        <v>3.5</v>
      </c>
      <c r="N17" s="55">
        <v>1.92</v>
      </c>
      <c r="O17" s="45"/>
      <c r="P17" s="1"/>
      <c r="S17" s="25"/>
      <c r="T17" s="116"/>
    </row>
    <row r="18" spans="1:20" ht="12.75">
      <c r="A18" s="1"/>
      <c r="B18" s="39" t="s">
        <v>20</v>
      </c>
      <c r="C18" s="98" t="s">
        <v>21</v>
      </c>
      <c r="D18" s="98"/>
      <c r="E18" s="44">
        <v>3.5</v>
      </c>
      <c r="F18" s="40">
        <f>(PI()*E14+(F16*E18*2))/10</f>
        <v>7.951327412287183</v>
      </c>
      <c r="G18" s="39" t="s">
        <v>20</v>
      </c>
      <c r="H18" s="98" t="s">
        <v>21</v>
      </c>
      <c r="I18" s="98"/>
      <c r="J18" s="21">
        <v>3.5</v>
      </c>
      <c r="K18" s="40">
        <f>(PI()*J14+(K16*J18*2))/10</f>
        <v>9.351327412287183</v>
      </c>
      <c r="L18" s="45"/>
      <c r="M18" s="54">
        <v>4</v>
      </c>
      <c r="N18" s="55">
        <v>2.06</v>
      </c>
      <c r="O18" s="25"/>
      <c r="P18" s="1"/>
      <c r="S18" s="25"/>
      <c r="T18" s="116"/>
    </row>
    <row r="19" spans="1:20" ht="12.75">
      <c r="A19" s="1"/>
      <c r="B19" s="33"/>
      <c r="C19" s="34"/>
      <c r="D19" s="34"/>
      <c r="E19" s="35"/>
      <c r="F19" s="36">
        <f>E7/F17</f>
        <v>12.722646310432571</v>
      </c>
      <c r="G19" s="19"/>
      <c r="H19" s="25"/>
      <c r="I19" s="25"/>
      <c r="J19" s="20"/>
      <c r="K19" s="36">
        <f>J7/K17</f>
        <v>10.799136069114471</v>
      </c>
      <c r="L19" s="45"/>
      <c r="M19" s="54">
        <v>4.5</v>
      </c>
      <c r="N19" s="55">
        <v>2.18</v>
      </c>
      <c r="O19" s="76"/>
      <c r="P19" s="1"/>
      <c r="S19" s="25"/>
      <c r="T19" s="116"/>
    </row>
    <row r="20" spans="1:20" ht="12.75">
      <c r="A20" s="1"/>
      <c r="B20" s="6" t="s">
        <v>5</v>
      </c>
      <c r="C20" s="80" t="s">
        <v>6</v>
      </c>
      <c r="D20" s="80"/>
      <c r="E20" s="41">
        <f>(0.2*E10*E16*E16/100)*(LN((4*PI()*E12)/(E10*F18)))</f>
        <v>171.8446467715341</v>
      </c>
      <c r="F20" s="23"/>
      <c r="G20" s="6" t="s">
        <v>5</v>
      </c>
      <c r="H20" s="80" t="s">
        <v>6</v>
      </c>
      <c r="I20" s="80"/>
      <c r="J20" s="41">
        <f>(0.2*J10*J16*J16/100)*(LN((4*PI()*J12)/(J10*K18)))</f>
        <v>173.71812922280165</v>
      </c>
      <c r="K20" s="23"/>
      <c r="L20" s="113"/>
      <c r="M20" s="54">
        <v>5</v>
      </c>
      <c r="N20" s="55">
        <v>2.29</v>
      </c>
      <c r="O20" s="76"/>
      <c r="P20" s="25"/>
      <c r="Q20" s="25"/>
      <c r="S20" s="25"/>
      <c r="T20" s="116"/>
    </row>
    <row r="21" spans="1:20" ht="12.75">
      <c r="A21" s="1"/>
      <c r="B21" s="78"/>
      <c r="C21" s="89"/>
      <c r="D21" s="89"/>
      <c r="E21" s="79"/>
      <c r="F21" s="32"/>
      <c r="G21" s="19"/>
      <c r="H21" s="25"/>
      <c r="I21" s="25"/>
      <c r="J21" s="20"/>
      <c r="K21" s="23"/>
      <c r="L21" s="42"/>
      <c r="M21" s="54">
        <v>5.5</v>
      </c>
      <c r="N21" s="55">
        <v>2.39</v>
      </c>
      <c r="O21" s="43"/>
      <c r="P21" s="1"/>
      <c r="S21" s="25"/>
      <c r="T21" s="116"/>
    </row>
    <row r="22" spans="1:20" ht="12.75">
      <c r="A22" s="1"/>
      <c r="B22" s="108" t="s">
        <v>38</v>
      </c>
      <c r="C22" s="118"/>
      <c r="D22" s="118"/>
      <c r="E22" s="109">
        <f>E18/E14</f>
        <v>4.375</v>
      </c>
      <c r="F22" s="32"/>
      <c r="G22" s="133" t="s">
        <v>38</v>
      </c>
      <c r="H22" s="134"/>
      <c r="I22" s="134"/>
      <c r="J22" s="109">
        <f>J18/J14</f>
        <v>4.375</v>
      </c>
      <c r="K22" s="23"/>
      <c r="L22" s="45"/>
      <c r="M22" s="54">
        <v>6</v>
      </c>
      <c r="N22" s="55">
        <v>2.48</v>
      </c>
      <c r="O22" s="45"/>
      <c r="P22" s="51"/>
      <c r="Q22" s="51"/>
      <c r="S22" s="25"/>
      <c r="T22" s="116"/>
    </row>
    <row r="23" spans="1:20" ht="12.75">
      <c r="A23" s="1"/>
      <c r="B23" s="111"/>
      <c r="C23" s="110"/>
      <c r="D23" s="110"/>
      <c r="E23" s="112"/>
      <c r="F23" s="119">
        <f>E32/1000</f>
        <v>0.529599940545954</v>
      </c>
      <c r="G23" s="120"/>
      <c r="H23" s="121"/>
      <c r="I23" s="121"/>
      <c r="J23" s="123"/>
      <c r="K23" s="23"/>
      <c r="L23" s="45"/>
      <c r="M23" s="54">
        <v>6.5</v>
      </c>
      <c r="N23" s="55">
        <v>2.56</v>
      </c>
      <c r="O23" s="45"/>
      <c r="P23" s="51"/>
      <c r="Q23" s="51"/>
      <c r="S23" s="25"/>
      <c r="T23" s="116"/>
    </row>
    <row r="24" spans="1:20" ht="12.75">
      <c r="A24" s="1"/>
      <c r="B24" s="120" t="s">
        <v>26</v>
      </c>
      <c r="C24" s="121"/>
      <c r="D24" s="122"/>
      <c r="E24" s="147">
        <v>2.15</v>
      </c>
      <c r="F24" s="97"/>
      <c r="G24" s="120" t="s">
        <v>26</v>
      </c>
      <c r="H24" s="121"/>
      <c r="I24" s="122"/>
      <c r="J24" s="147">
        <v>2.15</v>
      </c>
      <c r="K24" s="47">
        <f>J32/1000</f>
        <v>0.5295360355930291</v>
      </c>
      <c r="L24" s="114"/>
      <c r="M24" s="54">
        <v>7</v>
      </c>
      <c r="N24" s="55">
        <v>2.63</v>
      </c>
      <c r="O24" s="45"/>
      <c r="P24" s="51"/>
      <c r="Q24" s="51"/>
      <c r="S24" s="25"/>
      <c r="T24" s="116"/>
    </row>
    <row r="25" spans="1:20" ht="12.75">
      <c r="A25" s="1"/>
      <c r="B25" s="120"/>
      <c r="C25" s="121"/>
      <c r="D25" s="121"/>
      <c r="E25" s="123"/>
      <c r="F25" s="97"/>
      <c r="G25" s="120"/>
      <c r="H25" s="121"/>
      <c r="I25" s="121"/>
      <c r="J25" s="123"/>
      <c r="K25" s="47"/>
      <c r="L25" s="114"/>
      <c r="M25" s="54">
        <v>7.5</v>
      </c>
      <c r="N25" s="55">
        <v>2.7</v>
      </c>
      <c r="O25" s="45"/>
      <c r="S25" s="25"/>
      <c r="T25" s="116"/>
    </row>
    <row r="26" spans="1:20" ht="14.25">
      <c r="A26" s="1"/>
      <c r="B26" s="124" t="s">
        <v>44</v>
      </c>
      <c r="C26" s="125" t="s">
        <v>43</v>
      </c>
      <c r="D26" s="125"/>
      <c r="E26" s="37">
        <v>500</v>
      </c>
      <c r="F26" s="97"/>
      <c r="G26" s="124" t="s">
        <v>44</v>
      </c>
      <c r="H26" s="125" t="s">
        <v>43</v>
      </c>
      <c r="I26" s="125"/>
      <c r="J26" s="37">
        <v>500</v>
      </c>
      <c r="K26" s="47"/>
      <c r="L26" s="45"/>
      <c r="M26" s="54">
        <v>8</v>
      </c>
      <c r="N26" s="55">
        <v>2.77</v>
      </c>
      <c r="O26" s="45"/>
      <c r="S26" s="25"/>
      <c r="T26" s="116"/>
    </row>
    <row r="27" spans="1:20" ht="12.75">
      <c r="A27" s="1"/>
      <c r="B27" s="120"/>
      <c r="C27" s="121"/>
      <c r="D27" s="121"/>
      <c r="E27" s="123"/>
      <c r="F27" s="97"/>
      <c r="G27" s="120"/>
      <c r="H27" s="121"/>
      <c r="I27" s="121"/>
      <c r="J27" s="123"/>
      <c r="K27" s="1"/>
      <c r="L27" s="25"/>
      <c r="M27" s="54">
        <v>8.5</v>
      </c>
      <c r="N27" s="55">
        <v>2.83</v>
      </c>
      <c r="O27" s="51"/>
      <c r="S27" s="25"/>
      <c r="T27" s="116"/>
    </row>
    <row r="28" spans="1:20" ht="14.25">
      <c r="A28" s="1"/>
      <c r="B28" s="124" t="s">
        <v>45</v>
      </c>
      <c r="C28" s="126" t="s">
        <v>46</v>
      </c>
      <c r="D28" s="122"/>
      <c r="E28" s="29">
        <f>0.8727*(E7*4/3.1416)/E24</f>
        <v>25.84078028674472</v>
      </c>
      <c r="F28" s="97"/>
      <c r="G28" s="124" t="s">
        <v>45</v>
      </c>
      <c r="H28" s="126" t="s">
        <v>46</v>
      </c>
      <c r="I28" s="122"/>
      <c r="J28" s="145">
        <f>0.8727*J7/J24</f>
        <v>20.295348837209307</v>
      </c>
      <c r="K28" s="1"/>
      <c r="L28" s="75"/>
      <c r="M28" s="54">
        <v>9</v>
      </c>
      <c r="N28" s="55">
        <v>2.89</v>
      </c>
      <c r="O28" s="75"/>
      <c r="P28" s="1"/>
      <c r="S28" s="25"/>
      <c r="T28" s="116"/>
    </row>
    <row r="29" spans="1:20" ht="12.75">
      <c r="A29" s="1"/>
      <c r="B29" s="127"/>
      <c r="C29" s="128"/>
      <c r="D29" s="128"/>
      <c r="E29" s="129"/>
      <c r="F29" s="97"/>
      <c r="G29" s="127"/>
      <c r="H29" s="128"/>
      <c r="I29" s="128"/>
      <c r="J29" s="129"/>
      <c r="K29" s="1"/>
      <c r="L29" s="45"/>
      <c r="M29" s="54">
        <v>9.5</v>
      </c>
      <c r="N29" s="55">
        <v>2.94</v>
      </c>
      <c r="O29" s="45"/>
      <c r="P29" s="76"/>
      <c r="Q29" s="34"/>
      <c r="S29" s="25"/>
      <c r="T29" s="116"/>
    </row>
    <row r="30" spans="1:20" ht="14.25">
      <c r="A30" s="1"/>
      <c r="B30" s="124" t="s">
        <v>39</v>
      </c>
      <c r="C30" s="126" t="s">
        <v>40</v>
      </c>
      <c r="D30" s="122"/>
      <c r="E30" s="145">
        <f>E26+E28</f>
        <v>525.8407802867447</v>
      </c>
      <c r="F30" s="97"/>
      <c r="G30" s="124" t="s">
        <v>39</v>
      </c>
      <c r="H30" s="135" t="s">
        <v>40</v>
      </c>
      <c r="I30" s="136"/>
      <c r="J30" s="145">
        <f>J26+J28</f>
        <v>520.2953488372093</v>
      </c>
      <c r="K30" s="1"/>
      <c r="L30" s="45"/>
      <c r="M30" s="54">
        <v>10</v>
      </c>
      <c r="N30" s="55">
        <v>3</v>
      </c>
      <c r="O30" s="45"/>
      <c r="P30" s="4"/>
      <c r="Q30" s="34"/>
      <c r="S30" s="25"/>
      <c r="T30" s="116"/>
    </row>
    <row r="31" spans="1:20" ht="12.75">
      <c r="A31" s="1"/>
      <c r="B31" s="127"/>
      <c r="C31" s="128"/>
      <c r="D31" s="128"/>
      <c r="E31" s="129"/>
      <c r="F31" s="25"/>
      <c r="G31" s="137"/>
      <c r="H31" s="128"/>
      <c r="I31" s="128"/>
      <c r="J31" s="129"/>
      <c r="K31" s="1"/>
      <c r="L31" s="45"/>
      <c r="M31" s="54">
        <v>15</v>
      </c>
      <c r="N31" s="55">
        <v>3.4</v>
      </c>
      <c r="O31" s="45"/>
      <c r="P31" s="4"/>
      <c r="Q31" s="34"/>
      <c r="S31" s="25"/>
      <c r="T31" s="116"/>
    </row>
    <row r="32" spans="2:20" ht="13.5" thickBot="1">
      <c r="B32" s="130" t="s">
        <v>8</v>
      </c>
      <c r="C32" s="131" t="s">
        <v>23</v>
      </c>
      <c r="D32" s="132"/>
      <c r="E32" s="146">
        <f>159200/SQRT(E20*E30)</f>
        <v>529.599940545954</v>
      </c>
      <c r="F32" s="46"/>
      <c r="G32" s="130" t="s">
        <v>8</v>
      </c>
      <c r="H32" s="131" t="s">
        <v>23</v>
      </c>
      <c r="I32" s="132"/>
      <c r="J32" s="146">
        <f>159200/SQRT(J20*J30)</f>
        <v>529.536035593029</v>
      </c>
      <c r="L32" s="51"/>
      <c r="M32" s="54">
        <v>20</v>
      </c>
      <c r="N32" s="55">
        <v>3.69</v>
      </c>
      <c r="O32" s="51"/>
      <c r="P32" s="34"/>
      <c r="Q32" s="34"/>
      <c r="S32" s="25"/>
      <c r="T32" s="116"/>
    </row>
    <row r="33" spans="2:20" ht="12.75">
      <c r="B33" s="34"/>
      <c r="F33" s="34"/>
      <c r="G33" s="34"/>
      <c r="L33" s="51"/>
      <c r="M33" s="54">
        <v>30</v>
      </c>
      <c r="N33" s="55">
        <v>4.1</v>
      </c>
      <c r="O33" s="51"/>
      <c r="P33" s="34"/>
      <c r="Q33" s="34"/>
      <c r="S33" s="25"/>
      <c r="T33" s="116"/>
    </row>
    <row r="34" spans="6:20" ht="13.5" thickBot="1">
      <c r="F34" s="48">
        <f>20*(LOG10(F12/K12))</f>
        <v>1.5736517795074305</v>
      </c>
      <c r="G34" s="34"/>
      <c r="L34" s="51"/>
      <c r="M34" s="54">
        <v>40</v>
      </c>
      <c r="N34" s="55">
        <v>4.38</v>
      </c>
      <c r="O34" s="51"/>
      <c r="P34" s="34"/>
      <c r="Q34" s="34"/>
      <c r="S34" s="25"/>
      <c r="T34" s="116"/>
    </row>
    <row r="35" spans="2:20" ht="13.5" thickBot="1">
      <c r="B35" s="34"/>
      <c r="C35" s="34"/>
      <c r="D35" s="34"/>
      <c r="E35" s="34"/>
      <c r="F35" s="34"/>
      <c r="G35" s="34"/>
      <c r="H35" s="34"/>
      <c r="L35" s="51"/>
      <c r="M35" s="68">
        <v>50</v>
      </c>
      <c r="N35" s="69">
        <v>4.62</v>
      </c>
      <c r="O35" s="51"/>
      <c r="P35" s="34"/>
      <c r="Q35" s="34"/>
      <c r="S35" s="25"/>
      <c r="T35" s="117"/>
    </row>
    <row r="36" spans="2:20" ht="12.75">
      <c r="B36" s="34"/>
      <c r="C36" s="89"/>
      <c r="D36" s="90"/>
      <c r="E36" s="25"/>
      <c r="G36" s="51"/>
      <c r="H36" s="34"/>
      <c r="L36" s="51"/>
      <c r="O36" s="51"/>
      <c r="P36" s="34"/>
      <c r="Q36" s="34"/>
      <c r="S36" s="34"/>
      <c r="T36" s="34"/>
    </row>
    <row r="37" spans="2:20" ht="12.75">
      <c r="B37" s="34"/>
      <c r="C37" s="98" t="s">
        <v>24</v>
      </c>
      <c r="D37" s="98"/>
      <c r="E37" s="52">
        <f>E10*E16/100</f>
        <v>24</v>
      </c>
      <c r="F37" s="96"/>
      <c r="G37" s="95"/>
      <c r="H37" s="98" t="s">
        <v>24</v>
      </c>
      <c r="I37" s="98"/>
      <c r="J37" s="52">
        <f>J10*J16/100</f>
        <v>21.991148575128555</v>
      </c>
      <c r="L37" s="51"/>
      <c r="O37" s="51"/>
      <c r="P37" s="34"/>
      <c r="Q37" s="34"/>
      <c r="S37" s="34"/>
      <c r="T37" s="34"/>
    </row>
    <row r="38" spans="2:17" ht="12.75">
      <c r="B38" s="34"/>
      <c r="C38" s="98" t="s">
        <v>42</v>
      </c>
      <c r="D38" s="98"/>
      <c r="E38" s="52">
        <f>(E16*E18+E14)/10</f>
        <v>4.279999999999999</v>
      </c>
      <c r="G38" s="45"/>
      <c r="H38" s="98" t="s">
        <v>42</v>
      </c>
      <c r="I38" s="98"/>
      <c r="J38" s="52">
        <f>(J16*J18+J14)/10</f>
        <v>4.9799999999999995</v>
      </c>
      <c r="L38" s="51"/>
      <c r="O38" s="51"/>
      <c r="P38" s="34"/>
      <c r="Q38" s="34"/>
    </row>
    <row r="39" spans="2:17" ht="12.75">
      <c r="B39" s="34"/>
      <c r="C39" s="98" t="s">
        <v>41</v>
      </c>
      <c r="D39" s="98"/>
      <c r="E39" s="52">
        <f>(E7*4/3.14)/E38</f>
        <v>14.88183820465504</v>
      </c>
      <c r="F39" s="34"/>
      <c r="G39" s="34"/>
      <c r="H39" s="98" t="s">
        <v>41</v>
      </c>
      <c r="I39" s="98"/>
      <c r="J39" s="52">
        <f>J7/J38</f>
        <v>10.040160642570282</v>
      </c>
      <c r="L39" s="51"/>
      <c r="M39" s="51"/>
      <c r="N39" s="51"/>
      <c r="O39" s="51"/>
      <c r="P39" s="34"/>
      <c r="Q39" s="34"/>
    </row>
    <row r="40" spans="12:17" ht="12.75">
      <c r="L40" s="34"/>
      <c r="M40" s="34"/>
      <c r="N40" s="34"/>
      <c r="O40" s="34"/>
      <c r="P40" s="34"/>
      <c r="Q40" s="34"/>
    </row>
    <row r="41" spans="12:17" ht="12.75">
      <c r="L41" s="34"/>
      <c r="M41" s="34"/>
      <c r="N41" s="34"/>
      <c r="O41" s="34"/>
      <c r="P41" s="34"/>
      <c r="Q41" s="34"/>
    </row>
    <row r="42" spans="12:17" ht="12.75">
      <c r="L42" s="34"/>
      <c r="M42" s="34"/>
      <c r="N42" s="34"/>
      <c r="O42" s="34"/>
      <c r="P42" s="34"/>
      <c r="Q42" s="34"/>
    </row>
    <row r="43" spans="12:17" ht="12.75">
      <c r="L43" s="34"/>
      <c r="M43" s="34"/>
      <c r="N43" s="34"/>
      <c r="O43" s="34"/>
      <c r="P43" s="34"/>
      <c r="Q43" s="34"/>
    </row>
    <row r="44" spans="12:17" ht="12.75">
      <c r="L44" s="34"/>
      <c r="M44" s="34"/>
      <c r="N44" s="34"/>
      <c r="O44" s="34"/>
      <c r="P44" s="34"/>
      <c r="Q44" s="34"/>
    </row>
    <row r="45" spans="12:17" ht="12.75">
      <c r="L45" s="34"/>
      <c r="M45" s="34"/>
      <c r="N45" s="34"/>
      <c r="O45" s="34"/>
      <c r="P45" s="34"/>
      <c r="Q45" s="34"/>
    </row>
    <row r="46" spans="12:17" ht="12.75">
      <c r="L46" s="34"/>
      <c r="M46" s="34"/>
      <c r="N46" s="34"/>
      <c r="O46" s="34"/>
      <c r="P46" s="34"/>
      <c r="Q46" s="34"/>
    </row>
    <row r="47" spans="12:17" ht="12.75">
      <c r="L47" s="34"/>
      <c r="M47" s="34"/>
      <c r="N47" s="34"/>
      <c r="O47" s="34"/>
      <c r="P47" s="34"/>
      <c r="Q47" s="34"/>
    </row>
  </sheetData>
  <sheetProtection sheet="1" objects="1" scenarios="1"/>
  <mergeCells count="56">
    <mergeCell ref="G24:I24"/>
    <mergeCell ref="G25:J25"/>
    <mergeCell ref="C32:D32"/>
    <mergeCell ref="H28:I28"/>
    <mergeCell ref="H30:I30"/>
    <mergeCell ref="H32:I32"/>
    <mergeCell ref="C30:D30"/>
    <mergeCell ref="C28:D28"/>
    <mergeCell ref="H20:I20"/>
    <mergeCell ref="H39:I39"/>
    <mergeCell ref="C39:D39"/>
    <mergeCell ref="G22:I22"/>
    <mergeCell ref="B22:D22"/>
    <mergeCell ref="C26:D26"/>
    <mergeCell ref="H26:I26"/>
    <mergeCell ref="C14:D14"/>
    <mergeCell ref="H16:I16"/>
    <mergeCell ref="C38:D38"/>
    <mergeCell ref="H38:I38"/>
    <mergeCell ref="B17:E17"/>
    <mergeCell ref="G17:J17"/>
    <mergeCell ref="B9:E9"/>
    <mergeCell ref="H10:I10"/>
    <mergeCell ref="H12:I12"/>
    <mergeCell ref="G5:J5"/>
    <mergeCell ref="H7:I7"/>
    <mergeCell ref="G11:J11"/>
    <mergeCell ref="H14:I14"/>
    <mergeCell ref="H18:I18"/>
    <mergeCell ref="B2:J3"/>
    <mergeCell ref="C8:D8"/>
    <mergeCell ref="C10:D10"/>
    <mergeCell ref="C12:D12"/>
    <mergeCell ref="B5:E5"/>
    <mergeCell ref="C7:D7"/>
    <mergeCell ref="B11:E11"/>
    <mergeCell ref="G13:J13"/>
    <mergeCell ref="B21:E21"/>
    <mergeCell ref="C20:D20"/>
    <mergeCell ref="C18:D18"/>
    <mergeCell ref="B15:E15"/>
    <mergeCell ref="C16:D16"/>
    <mergeCell ref="B13:E13"/>
    <mergeCell ref="H37:I37"/>
    <mergeCell ref="C37:D37"/>
    <mergeCell ref="F23:F30"/>
    <mergeCell ref="C36:D36"/>
    <mergeCell ref="F37:G37"/>
    <mergeCell ref="M2:N2"/>
    <mergeCell ref="M3:N3"/>
    <mergeCell ref="B23:E23"/>
    <mergeCell ref="B27:E27"/>
    <mergeCell ref="G23:J23"/>
    <mergeCell ref="G27:J27"/>
    <mergeCell ref="B24:D24"/>
    <mergeCell ref="B25:E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I27" sqref="I27"/>
    </sheetView>
  </sheetViews>
  <sheetFormatPr defaultColWidth="11.421875" defaultRowHeight="12.75"/>
  <cols>
    <col min="1" max="1" width="18.421875" style="0" customWidth="1"/>
    <col min="2" max="2" width="4.7109375" style="0" customWidth="1"/>
    <col min="3" max="3" width="17.28125" style="0" customWidth="1"/>
    <col min="4" max="4" width="15.140625" style="0" customWidth="1"/>
    <col min="5" max="5" width="3.28125" style="0" customWidth="1"/>
    <col min="6" max="6" width="3.00390625" style="0" customWidth="1"/>
    <col min="7" max="7" width="6.57421875" style="0" customWidth="1"/>
    <col min="11" max="11" width="11.421875" style="57" customWidth="1"/>
    <col min="12" max="12" width="11.421875" style="58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M1" s="1"/>
      <c r="N1" s="1"/>
    </row>
    <row r="2" spans="1:14" ht="13.5" thickBot="1">
      <c r="A2" s="1"/>
      <c r="B2" s="15"/>
      <c r="C2" s="59"/>
      <c r="D2" s="8"/>
      <c r="E2" s="9"/>
      <c r="F2" s="1"/>
      <c r="G2" s="1"/>
      <c r="H2" s="1"/>
      <c r="I2" s="1"/>
      <c r="J2" s="1"/>
      <c r="K2" s="60" t="s">
        <v>25</v>
      </c>
      <c r="L2" s="61" t="s">
        <v>26</v>
      </c>
      <c r="M2" s="1"/>
      <c r="N2" s="1"/>
    </row>
    <row r="3" spans="1:14" ht="12.75">
      <c r="A3" s="1"/>
      <c r="B3" s="16"/>
      <c r="C3" s="62" t="s">
        <v>27</v>
      </c>
      <c r="D3" s="63">
        <v>1000</v>
      </c>
      <c r="E3" s="17"/>
      <c r="F3" s="1"/>
      <c r="G3" s="1"/>
      <c r="H3" s="1"/>
      <c r="I3" s="1"/>
      <c r="J3" s="1"/>
      <c r="K3" s="64">
        <v>1.05</v>
      </c>
      <c r="L3" s="53">
        <v>0.32</v>
      </c>
      <c r="M3" s="1"/>
      <c r="N3" s="1"/>
    </row>
    <row r="4" spans="1:14" ht="12.75">
      <c r="A4" s="1"/>
      <c r="B4" s="16"/>
      <c r="C4" s="62" t="s">
        <v>28</v>
      </c>
      <c r="D4" s="63">
        <v>1500</v>
      </c>
      <c r="E4" s="17"/>
      <c r="F4" s="1"/>
      <c r="G4" s="1"/>
      <c r="H4" s="1"/>
      <c r="I4" s="1"/>
      <c r="J4" s="1"/>
      <c r="K4" s="54">
        <v>1.1</v>
      </c>
      <c r="L4" s="55">
        <v>0.44</v>
      </c>
      <c r="M4" s="1"/>
      <c r="N4" s="1"/>
    </row>
    <row r="5" spans="1:14" ht="12.75">
      <c r="A5" s="1"/>
      <c r="B5" s="16"/>
      <c r="C5" s="25"/>
      <c r="D5" s="4"/>
      <c r="E5" s="17"/>
      <c r="F5" s="1"/>
      <c r="G5" s="1"/>
      <c r="H5" s="1"/>
      <c r="I5" s="1"/>
      <c r="J5" s="1"/>
      <c r="K5" s="54">
        <v>1.2</v>
      </c>
      <c r="L5" s="55">
        <v>0.62</v>
      </c>
      <c r="M5" s="1"/>
      <c r="N5" s="1"/>
    </row>
    <row r="6" spans="1:14" ht="12.75">
      <c r="A6" s="1"/>
      <c r="B6" s="16"/>
      <c r="C6" s="62" t="s">
        <v>29</v>
      </c>
      <c r="D6" s="56">
        <f>159200/SQRT(D3*D4)</f>
        <v>129.986255683694</v>
      </c>
      <c r="E6" s="17"/>
      <c r="F6" s="1"/>
      <c r="G6" s="1"/>
      <c r="H6" s="1"/>
      <c r="I6" s="1"/>
      <c r="J6" s="1"/>
      <c r="K6" s="54">
        <v>1.3</v>
      </c>
      <c r="L6" s="55">
        <v>0.76</v>
      </c>
      <c r="M6" s="1"/>
      <c r="N6" s="1"/>
    </row>
    <row r="7" spans="1:14" ht="13.5" thickBot="1">
      <c r="A7" s="1"/>
      <c r="B7" s="16"/>
      <c r="C7" s="25"/>
      <c r="D7" s="4"/>
      <c r="E7" s="17"/>
      <c r="F7" s="1"/>
      <c r="G7" s="1"/>
      <c r="H7" s="1"/>
      <c r="I7" s="1"/>
      <c r="J7" s="1"/>
      <c r="K7" s="54">
        <v>1.4</v>
      </c>
      <c r="L7" s="55">
        <v>0.87</v>
      </c>
      <c r="M7" s="1"/>
      <c r="N7" s="1"/>
    </row>
    <row r="8" spans="1:14" ht="12.75">
      <c r="A8" s="1"/>
      <c r="B8" s="15"/>
      <c r="C8" s="59"/>
      <c r="D8" s="59"/>
      <c r="E8" s="9"/>
      <c r="F8" s="1"/>
      <c r="G8" s="1"/>
      <c r="H8" s="1"/>
      <c r="I8" s="1"/>
      <c r="J8" s="1"/>
      <c r="K8" s="54">
        <v>1.5</v>
      </c>
      <c r="L8" s="55">
        <v>0.96</v>
      </c>
      <c r="M8" s="1"/>
      <c r="N8" s="1"/>
    </row>
    <row r="9" spans="1:14" ht="12.75">
      <c r="A9" s="1"/>
      <c r="B9" s="16"/>
      <c r="C9" s="62" t="s">
        <v>33</v>
      </c>
      <c r="D9" s="63">
        <v>1500</v>
      </c>
      <c r="E9" s="17"/>
      <c r="F9" s="1"/>
      <c r="G9" s="1"/>
      <c r="H9" s="1"/>
      <c r="I9" s="1"/>
      <c r="J9" s="1"/>
      <c r="K9" s="54">
        <v>1.8</v>
      </c>
      <c r="L9" s="55">
        <v>1.2</v>
      </c>
      <c r="M9" s="1"/>
      <c r="N9" s="1"/>
    </row>
    <row r="10" spans="1:14" ht="12.75">
      <c r="A10" s="1"/>
      <c r="B10" s="16"/>
      <c r="C10" s="62" t="s">
        <v>29</v>
      </c>
      <c r="D10" s="63">
        <v>150</v>
      </c>
      <c r="E10" s="17"/>
      <c r="F10" s="1"/>
      <c r="G10" s="1"/>
      <c r="H10" s="1"/>
      <c r="I10" s="1"/>
      <c r="J10" s="1"/>
      <c r="K10" s="54">
        <v>2</v>
      </c>
      <c r="L10" s="55">
        <v>1.31</v>
      </c>
      <c r="M10" s="1"/>
      <c r="N10" s="1"/>
    </row>
    <row r="11" spans="1:14" ht="12.75">
      <c r="A11" s="1"/>
      <c r="B11" s="16"/>
      <c r="C11" s="25"/>
      <c r="D11" s="25"/>
      <c r="E11" s="17"/>
      <c r="F11" s="1"/>
      <c r="G11" s="1"/>
      <c r="H11" s="1"/>
      <c r="I11" s="1"/>
      <c r="J11" s="1"/>
      <c r="K11" s="54">
        <v>2.3</v>
      </c>
      <c r="L11" s="55">
        <v>1.48</v>
      </c>
      <c r="M11" s="1"/>
      <c r="N11" s="1"/>
    </row>
    <row r="12" spans="1:14" ht="12.75">
      <c r="A12" s="1"/>
      <c r="B12" s="16"/>
      <c r="C12" s="62" t="s">
        <v>34</v>
      </c>
      <c r="D12" s="52">
        <f>POWER((159200/(SQRT(D9)*D10)),2)</f>
        <v>750.9522962962964</v>
      </c>
      <c r="E12" s="17"/>
      <c r="F12" s="1"/>
      <c r="G12" s="49"/>
      <c r="H12" s="7" t="s">
        <v>22</v>
      </c>
      <c r="I12" s="1"/>
      <c r="J12" s="1"/>
      <c r="K12" s="54">
        <v>2.7</v>
      </c>
      <c r="L12" s="55">
        <v>1.65</v>
      </c>
      <c r="M12" s="1"/>
      <c r="N12" s="1"/>
    </row>
    <row r="13" spans="1:14" ht="13.5" thickBot="1">
      <c r="A13" s="1"/>
      <c r="B13" s="50"/>
      <c r="C13" s="65"/>
      <c r="D13" s="10"/>
      <c r="E13" s="11"/>
      <c r="F13" s="1"/>
      <c r="G13" s="66"/>
      <c r="H13" s="7" t="s">
        <v>10</v>
      </c>
      <c r="I13" s="1"/>
      <c r="J13" s="1"/>
      <c r="K13" s="54">
        <v>3</v>
      </c>
      <c r="L13" s="55">
        <v>1.76</v>
      </c>
      <c r="M13" s="1"/>
      <c r="N13" s="1"/>
    </row>
    <row r="14" spans="1:14" ht="12.75">
      <c r="A14" s="1"/>
      <c r="B14" s="1"/>
      <c r="C14" s="14"/>
      <c r="D14" s="1"/>
      <c r="E14" s="1"/>
      <c r="F14" s="1"/>
      <c r="G14" s="1"/>
      <c r="H14" s="1"/>
      <c r="I14" s="1"/>
      <c r="J14" s="1"/>
      <c r="K14" s="54">
        <v>3.5</v>
      </c>
      <c r="L14" s="55">
        <v>1.92</v>
      </c>
      <c r="M14" s="1"/>
      <c r="N14" s="1"/>
    </row>
    <row r="15" spans="1:1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4">
        <v>4</v>
      </c>
      <c r="L15" s="55">
        <v>2.06</v>
      </c>
      <c r="M15" s="1"/>
      <c r="N15" s="1"/>
    </row>
    <row r="16" spans="1:14" ht="12.75">
      <c r="A16" s="1"/>
      <c r="B16" s="67" t="s">
        <v>1</v>
      </c>
      <c r="C16" s="72" t="s">
        <v>30</v>
      </c>
      <c r="D16" s="72"/>
      <c r="E16" s="73">
        <v>30</v>
      </c>
      <c r="F16" s="92"/>
      <c r="G16" s="45"/>
      <c r="H16" s="1"/>
      <c r="I16" s="1"/>
      <c r="J16" s="1"/>
      <c r="K16" s="54">
        <v>4.5</v>
      </c>
      <c r="L16" s="55">
        <v>2.18</v>
      </c>
      <c r="M16" s="1"/>
      <c r="N16" s="1"/>
    </row>
    <row r="17" spans="1:14" ht="12.75">
      <c r="A17" s="1"/>
      <c r="B17" s="54" t="s">
        <v>3</v>
      </c>
      <c r="C17" s="80" t="s">
        <v>17</v>
      </c>
      <c r="D17" s="80"/>
      <c r="E17" s="74">
        <v>0.2</v>
      </c>
      <c r="F17" s="99"/>
      <c r="G17" s="4"/>
      <c r="H17" s="1"/>
      <c r="I17" s="1"/>
      <c r="J17" s="1"/>
      <c r="K17" s="54">
        <v>5</v>
      </c>
      <c r="L17" s="55">
        <v>2.29</v>
      </c>
      <c r="M17" s="1"/>
      <c r="N17" s="1"/>
    </row>
    <row r="18" spans="1:14" ht="12.75">
      <c r="A18" s="1"/>
      <c r="B18" s="39" t="s">
        <v>20</v>
      </c>
      <c r="C18" s="98" t="s">
        <v>21</v>
      </c>
      <c r="D18" s="98"/>
      <c r="E18" s="74">
        <v>1.27</v>
      </c>
      <c r="F18" s="99"/>
      <c r="G18" s="1"/>
      <c r="H18" s="1"/>
      <c r="I18" s="1"/>
      <c r="J18" s="1"/>
      <c r="K18" s="54">
        <v>5.5</v>
      </c>
      <c r="L18" s="55">
        <v>2.39</v>
      </c>
      <c r="M18" s="1"/>
      <c r="N18" s="1"/>
    </row>
    <row r="19" spans="1:14" ht="12.75">
      <c r="A19" s="1"/>
      <c r="B19" s="39"/>
      <c r="C19" s="100" t="s">
        <v>25</v>
      </c>
      <c r="D19" s="88"/>
      <c r="E19" s="101">
        <f>E18/E17</f>
        <v>6.35</v>
      </c>
      <c r="F19" s="102"/>
      <c r="G19" s="1"/>
      <c r="H19" s="1"/>
      <c r="I19" s="1"/>
      <c r="J19" s="1"/>
      <c r="K19" s="54">
        <v>6</v>
      </c>
      <c r="L19" s="55">
        <v>2.48</v>
      </c>
      <c r="M19" s="1"/>
      <c r="N19" s="1"/>
    </row>
    <row r="20" spans="1:14" ht="12.75">
      <c r="A20" s="1"/>
      <c r="B20" s="54" t="s">
        <v>26</v>
      </c>
      <c r="C20" s="80" t="s">
        <v>31</v>
      </c>
      <c r="D20" s="80"/>
      <c r="E20" s="74">
        <v>2.5</v>
      </c>
      <c r="F20" s="99"/>
      <c r="G20" s="1"/>
      <c r="H20" s="1"/>
      <c r="I20" s="1"/>
      <c r="J20" s="1"/>
      <c r="K20" s="54">
        <v>6.5</v>
      </c>
      <c r="L20" s="55">
        <v>2.56</v>
      </c>
      <c r="M20" s="1"/>
      <c r="N20" s="1"/>
    </row>
    <row r="21" spans="1:14" ht="15.75">
      <c r="A21" s="1"/>
      <c r="B21" s="54" t="s">
        <v>35</v>
      </c>
      <c r="C21" s="80" t="s">
        <v>32</v>
      </c>
      <c r="D21" s="80"/>
      <c r="E21" s="101">
        <f>0.8727*E16/E20</f>
        <v>10.4724</v>
      </c>
      <c r="F21" s="102"/>
      <c r="G21" s="1"/>
      <c r="H21" s="1"/>
      <c r="I21" s="1"/>
      <c r="J21" s="1"/>
      <c r="K21" s="54">
        <v>7</v>
      </c>
      <c r="L21" s="55">
        <v>2.63</v>
      </c>
      <c r="M21" s="1"/>
      <c r="N21" s="1"/>
    </row>
    <row r="22" spans="1:14" ht="12.75">
      <c r="A22" s="1"/>
      <c r="B22" s="16"/>
      <c r="C22" s="4"/>
      <c r="D22" s="4"/>
      <c r="E22" s="4"/>
      <c r="F22" s="17"/>
      <c r="G22" s="1"/>
      <c r="H22" s="1"/>
      <c r="I22" s="1"/>
      <c r="J22" s="1"/>
      <c r="K22" s="54">
        <v>7.5</v>
      </c>
      <c r="L22" s="55">
        <v>2.7</v>
      </c>
      <c r="M22" s="1"/>
      <c r="N22" s="1"/>
    </row>
    <row r="23" spans="1:14" ht="12.75">
      <c r="A23" s="1"/>
      <c r="B23" s="16"/>
      <c r="C23" s="25" t="s">
        <v>20</v>
      </c>
      <c r="D23" s="4"/>
      <c r="E23" s="4"/>
      <c r="F23" s="17"/>
      <c r="G23" s="1"/>
      <c r="H23" s="1"/>
      <c r="I23" s="1"/>
      <c r="J23" s="1"/>
      <c r="K23" s="54">
        <v>8</v>
      </c>
      <c r="L23" s="55">
        <v>2.77</v>
      </c>
      <c r="M23" s="1"/>
      <c r="N23" s="1"/>
    </row>
    <row r="24" spans="1:14" ht="12.75">
      <c r="A24" s="1"/>
      <c r="B24" s="16"/>
      <c r="C24" s="4"/>
      <c r="D24" s="4"/>
      <c r="E24" s="4"/>
      <c r="F24" s="17"/>
      <c r="G24" s="1"/>
      <c r="H24" s="1"/>
      <c r="I24" s="1"/>
      <c r="J24" s="1"/>
      <c r="K24" s="54">
        <v>8.5</v>
      </c>
      <c r="L24" s="55">
        <v>2.83</v>
      </c>
      <c r="M24" s="1"/>
      <c r="N24" s="1"/>
    </row>
    <row r="25" spans="1:14" ht="12.75">
      <c r="A25" s="1"/>
      <c r="B25" s="16"/>
      <c r="C25" s="4"/>
      <c r="D25" s="4"/>
      <c r="E25" s="4"/>
      <c r="F25" s="17"/>
      <c r="G25" s="1"/>
      <c r="H25" s="1"/>
      <c r="I25" s="1"/>
      <c r="J25" s="1"/>
      <c r="K25" s="54">
        <v>9</v>
      </c>
      <c r="L25" s="55">
        <v>2.89</v>
      </c>
      <c r="M25" s="1"/>
      <c r="N25" s="1"/>
    </row>
    <row r="26" spans="1:14" ht="12.75">
      <c r="A26" s="1"/>
      <c r="B26" s="16"/>
      <c r="C26" s="4"/>
      <c r="D26" s="4"/>
      <c r="E26" s="4"/>
      <c r="F26" s="17"/>
      <c r="G26" s="1"/>
      <c r="H26" s="1"/>
      <c r="I26" s="1"/>
      <c r="J26" s="1"/>
      <c r="K26" s="54">
        <v>9.5</v>
      </c>
      <c r="L26" s="55">
        <v>2.94</v>
      </c>
      <c r="M26" s="1"/>
      <c r="N26" s="1"/>
    </row>
    <row r="27" spans="1:14" ht="12.75">
      <c r="A27" s="1"/>
      <c r="B27" s="16"/>
      <c r="C27" s="4"/>
      <c r="D27" s="4"/>
      <c r="E27" s="4"/>
      <c r="F27" s="17"/>
      <c r="G27" s="1"/>
      <c r="H27" s="1"/>
      <c r="I27" s="1"/>
      <c r="J27" s="1"/>
      <c r="K27" s="54">
        <v>10</v>
      </c>
      <c r="L27" s="55">
        <v>3</v>
      </c>
      <c r="M27" s="1"/>
      <c r="N27" s="1"/>
    </row>
    <row r="28" spans="1:14" ht="12.75">
      <c r="A28" s="1"/>
      <c r="B28" s="16"/>
      <c r="C28" s="4"/>
      <c r="D28" s="4"/>
      <c r="E28" s="4"/>
      <c r="F28" s="17"/>
      <c r="G28" s="1"/>
      <c r="H28" s="1"/>
      <c r="I28" s="1"/>
      <c r="J28" s="1"/>
      <c r="K28" s="54">
        <v>15</v>
      </c>
      <c r="L28" s="55">
        <v>3.4</v>
      </c>
      <c r="M28" s="1"/>
      <c r="N28" s="1"/>
    </row>
    <row r="29" spans="1:14" ht="12.75">
      <c r="A29" s="1"/>
      <c r="B29" s="16"/>
      <c r="C29" s="4" t="s">
        <v>3</v>
      </c>
      <c r="D29" s="4"/>
      <c r="E29" s="4"/>
      <c r="F29" s="17"/>
      <c r="G29" s="1"/>
      <c r="H29" s="1"/>
      <c r="I29" s="1"/>
      <c r="J29" s="1"/>
      <c r="K29" s="54">
        <v>20</v>
      </c>
      <c r="L29" s="55">
        <v>3.69</v>
      </c>
      <c r="M29" s="1"/>
      <c r="N29" s="1"/>
    </row>
    <row r="30" spans="1:14" ht="13.5" thickBot="1">
      <c r="A30" s="1"/>
      <c r="B30" s="50"/>
      <c r="C30" s="10"/>
      <c r="D30" s="10"/>
      <c r="E30" s="10"/>
      <c r="F30" s="11"/>
      <c r="G30" s="1"/>
      <c r="H30" s="1"/>
      <c r="I30" s="1"/>
      <c r="J30" s="1"/>
      <c r="K30" s="54">
        <v>30</v>
      </c>
      <c r="L30" s="55">
        <v>4.1</v>
      </c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54">
        <v>40</v>
      </c>
      <c r="L31" s="55">
        <v>4.38</v>
      </c>
      <c r="M31" s="1"/>
      <c r="N31" s="1"/>
    </row>
    <row r="32" spans="11:12" ht="13.5" thickBot="1">
      <c r="K32" s="68">
        <v>50</v>
      </c>
      <c r="L32" s="69">
        <v>4.62</v>
      </c>
    </row>
    <row r="33" ht="12.75">
      <c r="K33" s="14"/>
    </row>
  </sheetData>
  <sheetProtection sheet="1" objects="1" scenarios="1"/>
  <mergeCells count="12">
    <mergeCell ref="E21:F21"/>
    <mergeCell ref="C20:D20"/>
    <mergeCell ref="C16:D16"/>
    <mergeCell ref="E16:F16"/>
    <mergeCell ref="C21:D21"/>
    <mergeCell ref="C18:D18"/>
    <mergeCell ref="E18:F18"/>
    <mergeCell ref="C19:D19"/>
    <mergeCell ref="E19:F19"/>
    <mergeCell ref="E20:F20"/>
    <mergeCell ref="C17:D17"/>
    <mergeCell ref="E17:F1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H.B.</dc:creator>
  <cp:keywords/>
  <dc:description/>
  <cp:lastModifiedBy>H.B.</cp:lastModifiedBy>
  <dcterms:created xsi:type="dcterms:W3CDTF">2006-04-03T16:29:20Z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